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35" yWindow="4020" windowWidth="25605" windowHeight="15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'Sheet1'!$A$1:$U$64</definedName>
  </definedNames>
  <calcPr fullCalcOnLoad="1"/>
</workbook>
</file>

<file path=xl/sharedStrings.xml><?xml version="1.0" encoding="utf-8"?>
<sst xmlns="http://schemas.openxmlformats.org/spreadsheetml/2006/main" count="206" uniqueCount="72">
  <si>
    <t>OD (mm)</t>
  </si>
  <si>
    <t>ID (mm)</t>
  </si>
  <si>
    <t>Ln (mm)</t>
  </si>
  <si>
    <t>D31</t>
  </si>
  <si>
    <t>D33</t>
  </si>
  <si>
    <t>WL (mm)</t>
  </si>
  <si>
    <t>~ Delta LN (m)</t>
  </si>
  <si>
    <t>~ Delta Dia (m)</t>
  </si>
  <si>
    <t>KT</t>
  </si>
  <si>
    <t>Vdc</t>
  </si>
  <si>
    <t>Vdc(max)</t>
  </si>
  <si>
    <t>.15</t>
  </si>
  <si>
    <t>+/-</t>
  </si>
  <si>
    <t>~LnFq[KHz]</t>
  </si>
  <si>
    <t>~OdFq[KHz]</t>
  </si>
  <si>
    <t>~ThFq(KHz)</t>
  </si>
  <si>
    <t>Cap (pF)</t>
  </si>
  <si>
    <t>Cat #</t>
  </si>
  <si>
    <t>*</t>
  </si>
  <si>
    <t>Calculate</t>
  </si>
  <si>
    <t>Material</t>
  </si>
  <si>
    <t>K</t>
  </si>
  <si>
    <t>DF</t>
  </si>
  <si>
    <t>Tc  [C)</t>
  </si>
  <si>
    <t>K31</t>
  </si>
  <si>
    <t>Qm</t>
  </si>
  <si>
    <t>D33  [pC/N]</t>
  </si>
  <si>
    <t>D31  [pC/N]</t>
  </si>
  <si>
    <t>D  [g/cc]</t>
  </si>
  <si>
    <t>Ag  [um]</t>
  </si>
  <si>
    <t>&gt;.30</t>
  </si>
  <si>
    <t>6 to 12</t>
  </si>
  <si>
    <t>Type I (Hard)</t>
  </si>
  <si>
    <t>.25</t>
  </si>
  <si>
    <t>.35</t>
  </si>
  <si>
    <t>Type II (Soft)</t>
  </si>
  <si>
    <t>&gt;.35</t>
  </si>
  <si>
    <t>Columns with (*) = input values can be changed</t>
  </si>
  <si>
    <t>42-1001/1002</t>
  </si>
  <si>
    <t>42-1006/1007</t>
  </si>
  <si>
    <t>42-1011/1012</t>
  </si>
  <si>
    <t>42-1021/1022</t>
  </si>
  <si>
    <t>42-1031/1032</t>
  </si>
  <si>
    <t>42-1035/1036</t>
  </si>
  <si>
    <t>42-1041/1042</t>
  </si>
  <si>
    <t>42-1051/1052</t>
  </si>
  <si>
    <t>42-1061/1062</t>
  </si>
  <si>
    <t>42-1081/1082</t>
  </si>
  <si>
    <t>42-1091/1092</t>
  </si>
  <si>
    <t>42-2001/2002</t>
  </si>
  <si>
    <t>42-2006/2007</t>
  </si>
  <si>
    <t>42-2011/2012</t>
  </si>
  <si>
    <t>42-2021/2022</t>
  </si>
  <si>
    <t>42-2031/2032</t>
  </si>
  <si>
    <t>42-2035/2036</t>
  </si>
  <si>
    <t>42-2041/2042</t>
  </si>
  <si>
    <t>42-2051/2052</t>
  </si>
  <si>
    <t>42-2072</t>
  </si>
  <si>
    <t>42-1096</t>
  </si>
  <si>
    <t>42-1094</t>
  </si>
  <si>
    <t>42-1072</t>
  </si>
  <si>
    <t>42-2094</t>
  </si>
  <si>
    <t>42-2096</t>
  </si>
  <si>
    <t>TYPICAL CYLINDER DATA TYPE I (Hard PZT)</t>
  </si>
  <si>
    <t>TYPICAL CYLINDER DATA TYPE II (Soft PZT)</t>
  </si>
  <si>
    <t>213 Duck Run Road, PO Box 180, Mackeyville, PA 17750, USA</t>
  </si>
  <si>
    <t>sales@americanpiezo.com, www.americanpiezo.com</t>
  </si>
  <si>
    <t>42-1100</t>
  </si>
  <si>
    <t>.20</t>
  </si>
  <si>
    <t>P: +1-570-726-6961, F: +1-570-726-7466</t>
  </si>
  <si>
    <t>[APC 25-May-2022 Rev 010]</t>
  </si>
  <si>
    <t>[APC 18-May-2023 Rev 010]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</si>
</sst>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00"/>
    <numFmt numFmtId="174" formatCode="0.000E+00"/>
    <numFmt numFmtId="175" formatCode="0.0"/>
    <numFmt numFmtId="176" formatCode="00000"/>
    <numFmt numFmtId="177" formatCode="0.0E+00"/>
    <numFmt numFmtId="178" formatCode="[$-409]dddd\,\ mmmm\ d\,\ yyyy"/>
    <numFmt numFmtId="179" formatCode="[$-409]h:mm:ss\ AM/PM"/>
  </numFmts>
  <fonts count="3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2"/>
    </font>
    <font>
      <u val="single"/>
      <sz val="9"/>
      <color indexed="36"/>
      <name val="Geneva"/>
      <family val="2"/>
    </font>
    <font>
      <sz val="8"/>
      <name val="Geneva"/>
      <family val="2"/>
    </font>
    <font>
      <sz val="12"/>
      <name val="Geneva"/>
      <family val="2"/>
    </font>
    <font>
      <sz val="16"/>
      <name val="Geneva"/>
      <family val="2"/>
    </font>
    <font>
      <sz val="1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2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4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7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1</xdr:row>
      <xdr:rowOff>0</xdr:rowOff>
    </xdr:from>
    <xdr:to>
      <xdr:col>13</xdr:col>
      <xdr:colOff>904875</xdr:colOff>
      <xdr:row>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90500"/>
          <a:ext cx="2771775" cy="1533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W63"/>
  <sheetViews>
    <sheetView tabSelected="1" zoomScalePageLayoutView="0" workbookViewId="0" topLeftCell="A55">
      <selection activeCell="B41" sqref="B41:T41"/>
    </sheetView>
  </sheetViews>
  <sheetFormatPr defaultColWidth="8.875" defaultRowHeight="12"/>
  <cols>
    <col min="1" max="1" width="4.375" style="0" customWidth="1"/>
    <col min="2" max="2" width="16.375" style="0" bestFit="1" customWidth="1"/>
    <col min="3" max="3" width="10.00390625" style="2" bestFit="1" customWidth="1"/>
    <col min="4" max="4" width="5.75390625" style="0" bestFit="1" customWidth="1"/>
    <col min="5" max="5" width="9.00390625" style="2" bestFit="1" customWidth="1"/>
    <col min="6" max="6" width="4.375" style="0" bestFit="1" customWidth="1"/>
    <col min="7" max="7" width="9.375" style="2" bestFit="1" customWidth="1"/>
    <col min="8" max="8" width="4.375" style="0" bestFit="1" customWidth="1"/>
    <col min="9" max="9" width="10.125" style="0" bestFit="1" customWidth="1"/>
    <col min="10" max="11" width="5.125" style="4" bestFit="1" customWidth="1"/>
    <col min="12" max="12" width="10.75390625" style="4" bestFit="1" customWidth="1"/>
    <col min="13" max="13" width="6.375" style="4" bestFit="1" customWidth="1"/>
    <col min="14" max="14" width="15.75390625" style="1" bestFit="1" customWidth="1"/>
    <col min="15" max="15" width="16.00390625" style="1" bestFit="1" customWidth="1"/>
    <col min="16" max="16" width="6.375" style="3" bestFit="1" customWidth="1"/>
    <col min="17" max="17" width="10.125" style="3" bestFit="1" customWidth="1"/>
    <col min="18" max="18" width="12.75390625" style="0" bestFit="1" customWidth="1"/>
    <col min="19" max="19" width="13.00390625" style="0" bestFit="1" customWidth="1"/>
    <col min="20" max="20" width="12.875" style="0" bestFit="1" customWidth="1"/>
    <col min="21" max="21" width="4.875" style="5" customWidth="1"/>
    <col min="22" max="23" width="8.875" style="5" customWidth="1"/>
    <col min="24" max="24" width="10.75390625" style="5" customWidth="1"/>
    <col min="25" max="16384" width="8.875" style="5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spans="2:20" ht="23.25">
      <c r="B11" s="35" t="s">
        <v>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2:20" s="6" customFormat="1" ht="23.25">
      <c r="B12" s="35" t="s">
        <v>66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2:20" ht="23.25">
      <c r="B13" s="35" t="s">
        <v>69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22:23" ht="15" customHeight="1">
      <c r="V14"/>
      <c r="W14"/>
    </row>
    <row r="15" spans="22:23" ht="15" customHeight="1">
      <c r="V15"/>
      <c r="W15"/>
    </row>
    <row r="16" spans="1:23" s="31" customFormat="1" ht="20.25">
      <c r="A16" s="30"/>
      <c r="B16" s="32" t="s">
        <v>63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V16" s="30"/>
      <c r="W16" s="30"/>
    </row>
    <row r="17" spans="1:23" s="9" customFormat="1" ht="15">
      <c r="A17" s="7"/>
      <c r="B17" s="34" t="s">
        <v>37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V17" s="7"/>
      <c r="W17" s="7"/>
    </row>
    <row r="18" spans="1:23" s="9" customFormat="1" ht="15">
      <c r="A18" s="7"/>
      <c r="B18" s="34" t="s">
        <v>70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V18" s="7"/>
      <c r="W18" s="7"/>
    </row>
    <row r="19" spans="1:23" s="9" customFormat="1" ht="15">
      <c r="A19" s="7"/>
      <c r="B19" s="10"/>
      <c r="C19" s="11" t="s">
        <v>18</v>
      </c>
      <c r="D19" s="10"/>
      <c r="E19" s="11" t="s">
        <v>18</v>
      </c>
      <c r="F19" s="10"/>
      <c r="G19" s="11" t="s">
        <v>18</v>
      </c>
      <c r="H19" s="10"/>
      <c r="I19" s="10" t="s">
        <v>19</v>
      </c>
      <c r="J19" s="8" t="s">
        <v>18</v>
      </c>
      <c r="K19" s="8" t="s">
        <v>18</v>
      </c>
      <c r="L19" s="10" t="s">
        <v>19</v>
      </c>
      <c r="M19" s="8" t="s">
        <v>18</v>
      </c>
      <c r="N19" s="10" t="s">
        <v>19</v>
      </c>
      <c r="O19" s="10" t="s">
        <v>19</v>
      </c>
      <c r="P19" s="8" t="s">
        <v>18</v>
      </c>
      <c r="Q19" s="10" t="s">
        <v>19</v>
      </c>
      <c r="R19" s="10" t="s">
        <v>19</v>
      </c>
      <c r="S19" s="10" t="s">
        <v>19</v>
      </c>
      <c r="T19" s="10" t="s">
        <v>19</v>
      </c>
      <c r="U19" s="12"/>
      <c r="V19" s="7"/>
      <c r="W19" s="7"/>
    </row>
    <row r="20" spans="1:21" s="9" customFormat="1" ht="15">
      <c r="A20" s="7"/>
      <c r="B20" s="13" t="s">
        <v>17</v>
      </c>
      <c r="C20" s="13" t="s">
        <v>0</v>
      </c>
      <c r="D20" s="13" t="s">
        <v>12</v>
      </c>
      <c r="E20" s="13" t="s">
        <v>1</v>
      </c>
      <c r="F20" s="13" t="s">
        <v>12</v>
      </c>
      <c r="G20" s="13" t="s">
        <v>2</v>
      </c>
      <c r="H20" s="13" t="s">
        <v>12</v>
      </c>
      <c r="I20" s="13" t="s">
        <v>5</v>
      </c>
      <c r="J20" s="13" t="s">
        <v>3</v>
      </c>
      <c r="K20" s="13" t="s">
        <v>4</v>
      </c>
      <c r="L20" s="13" t="s">
        <v>10</v>
      </c>
      <c r="M20" s="13" t="s">
        <v>9</v>
      </c>
      <c r="N20" s="13" t="s">
        <v>6</v>
      </c>
      <c r="O20" s="13" t="s">
        <v>7</v>
      </c>
      <c r="P20" s="13" t="s">
        <v>8</v>
      </c>
      <c r="Q20" s="13" t="s">
        <v>16</v>
      </c>
      <c r="R20" s="13" t="s">
        <v>13</v>
      </c>
      <c r="S20" s="13" t="s">
        <v>14</v>
      </c>
      <c r="T20" s="13" t="s">
        <v>15</v>
      </c>
      <c r="U20" s="14"/>
    </row>
    <row r="21" spans="2:21" s="7" customFormat="1" ht="15">
      <c r="B21" s="15"/>
      <c r="C21" s="16"/>
      <c r="D21" s="17"/>
      <c r="E21" s="16"/>
      <c r="F21" s="15"/>
      <c r="G21" s="16"/>
      <c r="H21" s="15"/>
      <c r="I21" s="18"/>
      <c r="J21" s="19"/>
      <c r="K21" s="19"/>
      <c r="L21" s="19"/>
      <c r="M21" s="19"/>
      <c r="N21" s="20"/>
      <c r="O21" s="20"/>
      <c r="P21" s="19"/>
      <c r="Q21" s="19"/>
      <c r="R21" s="21"/>
      <c r="S21" s="21"/>
      <c r="T21" s="21"/>
      <c r="U21" s="9"/>
    </row>
    <row r="22" spans="2:21" s="7" customFormat="1" ht="15">
      <c r="B22" s="22" t="s">
        <v>61</v>
      </c>
      <c r="C22" s="23">
        <v>3</v>
      </c>
      <c r="D22" s="23" t="s">
        <v>11</v>
      </c>
      <c r="E22" s="23">
        <v>2</v>
      </c>
      <c r="F22" s="23" t="s">
        <v>11</v>
      </c>
      <c r="G22" s="23">
        <v>5</v>
      </c>
      <c r="H22" s="23" t="s">
        <v>11</v>
      </c>
      <c r="I22" s="24">
        <f aca="true" t="shared" si="0" ref="I22:I32">(C22-E22)/2</f>
        <v>0.5</v>
      </c>
      <c r="J22" s="25">
        <v>120</v>
      </c>
      <c r="K22" s="25">
        <v>300</v>
      </c>
      <c r="L22" s="25">
        <f aca="true" t="shared" si="1" ref="L22:L32">800*I22</f>
        <v>400</v>
      </c>
      <c r="M22" s="25">
        <v>400</v>
      </c>
      <c r="N22" s="26">
        <f aca="true" t="shared" si="2" ref="N22:N32">(2*(J22*10^-12)*(M22)*(G22/1000))/((C22/1000)-(E22/1000))</f>
        <v>4.8E-07</v>
      </c>
      <c r="O22" s="26">
        <f aca="true" t="shared" si="3" ref="O22:O32">((J22*10^-12)*(((C22+E22)/1000)/2)*M22)/(((C22-E22)/1000)/2)</f>
        <v>2.4E-07</v>
      </c>
      <c r="P22" s="25">
        <v>1400</v>
      </c>
      <c r="Q22" s="25">
        <f aca="true" t="shared" si="4" ref="Q22:Q32">ROUND(((2*P22*(8.854*10^-12)*3.14*(G22/1000))/LN(C22/E22))*10^12,-2)</f>
        <v>1000</v>
      </c>
      <c r="R22" s="25">
        <f>1600/G22</f>
        <v>320</v>
      </c>
      <c r="S22" s="25">
        <f>(1200/((C22+E22)/2))</f>
        <v>480</v>
      </c>
      <c r="T22" s="25">
        <f>ROUND(2075/I22,-1)</f>
        <v>4150</v>
      </c>
      <c r="U22" s="9"/>
    </row>
    <row r="23" spans="2:21" s="7" customFormat="1" ht="15">
      <c r="B23" s="22" t="s">
        <v>62</v>
      </c>
      <c r="C23" s="23">
        <v>5</v>
      </c>
      <c r="D23" s="23" t="s">
        <v>11</v>
      </c>
      <c r="E23" s="23">
        <v>4</v>
      </c>
      <c r="F23" s="23" t="s">
        <v>11</v>
      </c>
      <c r="G23" s="23">
        <v>10</v>
      </c>
      <c r="H23" s="23" t="s">
        <v>11</v>
      </c>
      <c r="I23" s="24">
        <f t="shared" si="0"/>
        <v>0.5</v>
      </c>
      <c r="J23" s="25">
        <v>120</v>
      </c>
      <c r="K23" s="25">
        <v>300</v>
      </c>
      <c r="L23" s="25">
        <f t="shared" si="1"/>
        <v>400</v>
      </c>
      <c r="M23" s="25">
        <v>400</v>
      </c>
      <c r="N23" s="26">
        <f t="shared" si="2"/>
        <v>9.6E-07</v>
      </c>
      <c r="O23" s="26">
        <f t="shared" si="3"/>
        <v>4.3199999999999995E-07</v>
      </c>
      <c r="P23" s="25">
        <v>1400</v>
      </c>
      <c r="Q23" s="25">
        <f t="shared" si="4"/>
        <v>3500</v>
      </c>
      <c r="R23" s="25">
        <f>1600/G23</f>
        <v>160</v>
      </c>
      <c r="S23" s="25">
        <f>(1150/((C23+E23)/2))</f>
        <v>255.55555555555554</v>
      </c>
      <c r="T23" s="25">
        <f>ROUND(2075/I23,-1)</f>
        <v>4150</v>
      </c>
      <c r="U23" s="9"/>
    </row>
    <row r="24" spans="2:21" s="7" customFormat="1" ht="15">
      <c r="B24" s="22" t="s">
        <v>49</v>
      </c>
      <c r="C24" s="23">
        <v>6.35</v>
      </c>
      <c r="D24" s="23" t="s">
        <v>11</v>
      </c>
      <c r="E24" s="23">
        <v>4.9</v>
      </c>
      <c r="F24" s="23" t="s">
        <v>11</v>
      </c>
      <c r="G24" s="23">
        <v>6.35</v>
      </c>
      <c r="H24" s="23" t="s">
        <v>11</v>
      </c>
      <c r="I24" s="24">
        <f t="shared" si="0"/>
        <v>0.7249999999999996</v>
      </c>
      <c r="J24" s="25">
        <v>120</v>
      </c>
      <c r="K24" s="25">
        <v>300</v>
      </c>
      <c r="L24" s="25">
        <f t="shared" si="1"/>
        <v>579.9999999999998</v>
      </c>
      <c r="M24" s="25">
        <v>580</v>
      </c>
      <c r="N24" s="26">
        <f t="shared" si="2"/>
        <v>6.096000000000004E-07</v>
      </c>
      <c r="O24" s="26">
        <f t="shared" si="3"/>
        <v>5.400000000000002E-07</v>
      </c>
      <c r="P24" s="25">
        <v>1400</v>
      </c>
      <c r="Q24" s="25">
        <f t="shared" si="4"/>
        <v>1900</v>
      </c>
      <c r="R24" s="25">
        <f>1800/G24</f>
        <v>283.46456692913387</v>
      </c>
      <c r="S24" s="25">
        <f aca="true" t="shared" si="5" ref="S24:S32">(990/((C24+E24)/2))</f>
        <v>176</v>
      </c>
      <c r="T24" s="25">
        <f>ROUND(2175/I24,-1)</f>
        <v>3000</v>
      </c>
      <c r="U24" s="9"/>
    </row>
    <row r="25" spans="2:21" s="7" customFormat="1" ht="15">
      <c r="B25" s="22" t="s">
        <v>50</v>
      </c>
      <c r="C25" s="23">
        <v>10</v>
      </c>
      <c r="D25" s="23" t="s">
        <v>33</v>
      </c>
      <c r="E25" s="23">
        <v>8</v>
      </c>
      <c r="F25" s="23" t="s">
        <v>33</v>
      </c>
      <c r="G25" s="23">
        <v>10</v>
      </c>
      <c r="H25" s="23" t="s">
        <v>11</v>
      </c>
      <c r="I25" s="24">
        <f t="shared" si="0"/>
        <v>1</v>
      </c>
      <c r="J25" s="25">
        <v>120</v>
      </c>
      <c r="K25" s="25">
        <v>300</v>
      </c>
      <c r="L25" s="25">
        <f t="shared" si="1"/>
        <v>800</v>
      </c>
      <c r="M25" s="25">
        <v>800</v>
      </c>
      <c r="N25" s="26">
        <f t="shared" si="2"/>
        <v>9.6E-07</v>
      </c>
      <c r="O25" s="26">
        <f t="shared" si="3"/>
        <v>8.639999999999999E-07</v>
      </c>
      <c r="P25" s="25">
        <v>1400</v>
      </c>
      <c r="Q25" s="25">
        <f t="shared" si="4"/>
        <v>3500</v>
      </c>
      <c r="R25" s="25">
        <f>1800/G25</f>
        <v>180</v>
      </c>
      <c r="S25" s="25">
        <f t="shared" si="5"/>
        <v>110</v>
      </c>
      <c r="T25" s="25">
        <f>ROUND(2175/I25,-1)</f>
        <v>2180</v>
      </c>
      <c r="U25" s="9"/>
    </row>
    <row r="26" spans="2:21" s="7" customFormat="1" ht="15">
      <c r="B26" s="22" t="s">
        <v>51</v>
      </c>
      <c r="C26" s="23">
        <v>15.5</v>
      </c>
      <c r="D26" s="23" t="s">
        <v>33</v>
      </c>
      <c r="E26" s="23">
        <v>11.2</v>
      </c>
      <c r="F26" s="23" t="s">
        <v>33</v>
      </c>
      <c r="G26" s="23">
        <v>18</v>
      </c>
      <c r="H26" s="23" t="s">
        <v>11</v>
      </c>
      <c r="I26" s="24">
        <f t="shared" si="0"/>
        <v>2.1500000000000004</v>
      </c>
      <c r="J26" s="25">
        <v>120</v>
      </c>
      <c r="K26" s="25">
        <v>300</v>
      </c>
      <c r="L26" s="25">
        <f t="shared" si="1"/>
        <v>1720.0000000000002</v>
      </c>
      <c r="M26" s="25">
        <v>1000</v>
      </c>
      <c r="N26" s="26">
        <f t="shared" si="2"/>
        <v>1.0046511627906974E-06</v>
      </c>
      <c r="O26" s="26">
        <f t="shared" si="3"/>
        <v>7.451162790697672E-07</v>
      </c>
      <c r="P26" s="25">
        <v>1400</v>
      </c>
      <c r="Q26" s="25">
        <f t="shared" si="4"/>
        <v>4300</v>
      </c>
      <c r="R26" s="25">
        <f>1800/G26</f>
        <v>100</v>
      </c>
      <c r="S26" s="25">
        <f t="shared" si="5"/>
        <v>74.15730337078652</v>
      </c>
      <c r="T26" s="25">
        <f>ROUND(2100/I26,-1)</f>
        <v>980</v>
      </c>
      <c r="U26" s="9"/>
    </row>
    <row r="27" spans="2:21" s="7" customFormat="1" ht="15">
      <c r="B27" s="22" t="s">
        <v>52</v>
      </c>
      <c r="C27" s="23">
        <v>19</v>
      </c>
      <c r="D27" s="23" t="s">
        <v>33</v>
      </c>
      <c r="E27" s="23">
        <v>16</v>
      </c>
      <c r="F27" s="23" t="s">
        <v>33</v>
      </c>
      <c r="G27" s="23">
        <v>20</v>
      </c>
      <c r="H27" s="23" t="s">
        <v>11</v>
      </c>
      <c r="I27" s="24">
        <f t="shared" si="0"/>
        <v>1.5</v>
      </c>
      <c r="J27" s="25">
        <v>120</v>
      </c>
      <c r="K27" s="25">
        <v>300</v>
      </c>
      <c r="L27" s="25">
        <f t="shared" si="1"/>
        <v>1200</v>
      </c>
      <c r="M27" s="25">
        <v>1000</v>
      </c>
      <c r="N27" s="26">
        <f t="shared" si="2"/>
        <v>1.6000000000000004E-06</v>
      </c>
      <c r="O27" s="26">
        <f t="shared" si="3"/>
        <v>1.4000000000000001E-06</v>
      </c>
      <c r="P27" s="25">
        <v>1400</v>
      </c>
      <c r="Q27" s="25">
        <f t="shared" si="4"/>
        <v>9100</v>
      </c>
      <c r="R27" s="25">
        <f>1800/G27</f>
        <v>90</v>
      </c>
      <c r="S27" s="25">
        <f t="shared" si="5"/>
        <v>56.57142857142857</v>
      </c>
      <c r="T27" s="25">
        <f>ROUND(2100/I27,-1)</f>
        <v>1400</v>
      </c>
      <c r="U27" s="9"/>
    </row>
    <row r="28" spans="2:21" s="7" customFormat="1" ht="15">
      <c r="B28" s="22" t="s">
        <v>53</v>
      </c>
      <c r="C28" s="23">
        <v>22</v>
      </c>
      <c r="D28" s="23" t="s">
        <v>33</v>
      </c>
      <c r="E28" s="23">
        <v>16</v>
      </c>
      <c r="F28" s="23" t="s">
        <v>33</v>
      </c>
      <c r="G28" s="23">
        <v>20</v>
      </c>
      <c r="H28" s="23" t="s">
        <v>11</v>
      </c>
      <c r="I28" s="24">
        <f t="shared" si="0"/>
        <v>3</v>
      </c>
      <c r="J28" s="25">
        <v>120</v>
      </c>
      <c r="K28" s="25">
        <v>300</v>
      </c>
      <c r="L28" s="25">
        <f t="shared" si="1"/>
        <v>2400</v>
      </c>
      <c r="M28" s="25">
        <v>1000</v>
      </c>
      <c r="N28" s="26">
        <f t="shared" si="2"/>
        <v>8.000000000000002E-07</v>
      </c>
      <c r="O28" s="26">
        <f t="shared" si="3"/>
        <v>7.6E-07</v>
      </c>
      <c r="P28" s="25">
        <v>1400</v>
      </c>
      <c r="Q28" s="25">
        <f t="shared" si="4"/>
        <v>4900</v>
      </c>
      <c r="R28" s="25">
        <f>1700/G28</f>
        <v>85</v>
      </c>
      <c r="S28" s="25">
        <f t="shared" si="5"/>
        <v>52.10526315789474</v>
      </c>
      <c r="T28" s="25">
        <f>ROUND(2100/I28,-1)</f>
        <v>700</v>
      </c>
      <c r="U28" s="9"/>
    </row>
    <row r="29" spans="2:21" s="7" customFormat="1" ht="15">
      <c r="B29" s="22" t="s">
        <v>54</v>
      </c>
      <c r="C29" s="23">
        <v>26</v>
      </c>
      <c r="D29" s="23" t="s">
        <v>33</v>
      </c>
      <c r="E29" s="23">
        <v>22</v>
      </c>
      <c r="F29" s="23" t="s">
        <v>33</v>
      </c>
      <c r="G29" s="23">
        <v>20</v>
      </c>
      <c r="H29" s="23" t="s">
        <v>11</v>
      </c>
      <c r="I29" s="24">
        <f t="shared" si="0"/>
        <v>2</v>
      </c>
      <c r="J29" s="25">
        <v>120</v>
      </c>
      <c r="K29" s="25">
        <v>300</v>
      </c>
      <c r="L29" s="25">
        <f t="shared" si="1"/>
        <v>1600</v>
      </c>
      <c r="M29" s="25">
        <v>1000</v>
      </c>
      <c r="N29" s="26">
        <f t="shared" si="2"/>
        <v>1.2E-06</v>
      </c>
      <c r="O29" s="26">
        <f t="shared" si="3"/>
        <v>1.44E-06</v>
      </c>
      <c r="P29" s="25">
        <v>1400</v>
      </c>
      <c r="Q29" s="25">
        <f t="shared" si="4"/>
        <v>9300</v>
      </c>
      <c r="R29" s="25">
        <f>1700/G29</f>
        <v>85</v>
      </c>
      <c r="S29" s="25">
        <f t="shared" si="5"/>
        <v>41.25</v>
      </c>
      <c r="T29" s="25">
        <f>ROUND(2075/I29,-1)</f>
        <v>1040</v>
      </c>
      <c r="U29" s="9"/>
    </row>
    <row r="30" spans="2:21" s="7" customFormat="1" ht="15">
      <c r="B30" s="22" t="s">
        <v>55</v>
      </c>
      <c r="C30" s="23">
        <v>30</v>
      </c>
      <c r="D30" s="23" t="s">
        <v>33</v>
      </c>
      <c r="E30" s="23">
        <v>26</v>
      </c>
      <c r="F30" s="23" t="s">
        <v>33</v>
      </c>
      <c r="G30" s="23">
        <v>20</v>
      </c>
      <c r="H30" s="23" t="s">
        <v>11</v>
      </c>
      <c r="I30" s="24">
        <f t="shared" si="0"/>
        <v>2</v>
      </c>
      <c r="J30" s="25">
        <v>120</v>
      </c>
      <c r="K30" s="25">
        <v>300</v>
      </c>
      <c r="L30" s="25">
        <f t="shared" si="1"/>
        <v>1600</v>
      </c>
      <c r="M30" s="25">
        <v>1000</v>
      </c>
      <c r="N30" s="26">
        <f t="shared" si="2"/>
        <v>1.2E-06</v>
      </c>
      <c r="O30" s="26">
        <f t="shared" si="3"/>
        <v>1.6800000000000002E-06</v>
      </c>
      <c r="P30" s="25">
        <v>1400</v>
      </c>
      <c r="Q30" s="25">
        <f t="shared" si="4"/>
        <v>10900</v>
      </c>
      <c r="R30" s="25">
        <f>1700/G30</f>
        <v>85</v>
      </c>
      <c r="S30" s="25">
        <f t="shared" si="5"/>
        <v>35.357142857142854</v>
      </c>
      <c r="T30" s="25">
        <f>ROUND(2075/I30,-1)</f>
        <v>1040</v>
      </c>
      <c r="U30" s="9"/>
    </row>
    <row r="31" spans="2:21" s="7" customFormat="1" ht="15">
      <c r="B31" s="22" t="s">
        <v>56</v>
      </c>
      <c r="C31" s="23">
        <v>38</v>
      </c>
      <c r="D31" s="23" t="s">
        <v>34</v>
      </c>
      <c r="E31" s="23">
        <v>34</v>
      </c>
      <c r="F31" s="23" t="s">
        <v>34</v>
      </c>
      <c r="G31" s="23">
        <v>25</v>
      </c>
      <c r="H31" s="23" t="s">
        <v>11</v>
      </c>
      <c r="I31" s="24">
        <f t="shared" si="0"/>
        <v>2</v>
      </c>
      <c r="J31" s="25">
        <v>120</v>
      </c>
      <c r="K31" s="25">
        <v>300</v>
      </c>
      <c r="L31" s="25">
        <f t="shared" si="1"/>
        <v>1600</v>
      </c>
      <c r="M31" s="25">
        <v>1000</v>
      </c>
      <c r="N31" s="26">
        <f t="shared" si="2"/>
        <v>1.5000000000000013E-06</v>
      </c>
      <c r="O31" s="26">
        <f t="shared" si="3"/>
        <v>2.1599999999999996E-06</v>
      </c>
      <c r="P31" s="25">
        <v>1400</v>
      </c>
      <c r="Q31" s="25">
        <f t="shared" si="4"/>
        <v>17500</v>
      </c>
      <c r="R31" s="25">
        <f>1700/G31</f>
        <v>68</v>
      </c>
      <c r="S31" s="25">
        <f t="shared" si="5"/>
        <v>27.5</v>
      </c>
      <c r="T31" s="25">
        <f>ROUND(2075/I31,-1)</f>
        <v>1040</v>
      </c>
      <c r="U31" s="9"/>
    </row>
    <row r="32" spans="2:21" s="7" customFormat="1" ht="15">
      <c r="B32" s="22" t="s">
        <v>57</v>
      </c>
      <c r="C32" s="23">
        <v>50</v>
      </c>
      <c r="D32" s="23" t="s">
        <v>34</v>
      </c>
      <c r="E32" s="23">
        <v>46</v>
      </c>
      <c r="F32" s="23" t="s">
        <v>34</v>
      </c>
      <c r="G32" s="23">
        <v>30</v>
      </c>
      <c r="H32" s="23" t="s">
        <v>11</v>
      </c>
      <c r="I32" s="24">
        <f t="shared" si="0"/>
        <v>2</v>
      </c>
      <c r="J32" s="25">
        <v>120</v>
      </c>
      <c r="K32" s="25">
        <v>300</v>
      </c>
      <c r="L32" s="25">
        <f t="shared" si="1"/>
        <v>1600</v>
      </c>
      <c r="M32" s="25">
        <v>1000</v>
      </c>
      <c r="N32" s="26">
        <f t="shared" si="2"/>
        <v>1.7999999999999982E-06</v>
      </c>
      <c r="O32" s="26">
        <f t="shared" si="3"/>
        <v>2.88E-06</v>
      </c>
      <c r="P32" s="25">
        <v>1400</v>
      </c>
      <c r="Q32" s="25">
        <f t="shared" si="4"/>
        <v>28000</v>
      </c>
      <c r="R32" s="25">
        <f>1700/G32</f>
        <v>56.666666666666664</v>
      </c>
      <c r="S32" s="25">
        <f t="shared" si="5"/>
        <v>20.625</v>
      </c>
      <c r="T32" s="25">
        <f>ROUND(2075/I32,-1)</f>
        <v>1040</v>
      </c>
      <c r="U32" s="9"/>
    </row>
    <row r="33" s="7" customFormat="1" ht="15">
      <c r="U33" s="9"/>
    </row>
    <row r="34" s="7" customFormat="1" ht="15">
      <c r="U34" s="9"/>
    </row>
    <row r="35" spans="3:21" s="7" customFormat="1" ht="15">
      <c r="C35" s="27" t="s">
        <v>20</v>
      </c>
      <c r="D35" s="27"/>
      <c r="E35" s="27" t="s">
        <v>21</v>
      </c>
      <c r="F35" s="27"/>
      <c r="G35" s="27" t="s">
        <v>22</v>
      </c>
      <c r="H35" s="27"/>
      <c r="I35" s="27" t="s">
        <v>23</v>
      </c>
      <c r="J35" s="27"/>
      <c r="K35" s="27" t="s">
        <v>24</v>
      </c>
      <c r="L35" s="27"/>
      <c r="M35" s="28" t="s">
        <v>25</v>
      </c>
      <c r="N35" s="29" t="s">
        <v>26</v>
      </c>
      <c r="O35" s="29" t="s">
        <v>27</v>
      </c>
      <c r="P35" s="29" t="s">
        <v>28</v>
      </c>
      <c r="Q35" s="29"/>
      <c r="R35" s="29" t="s">
        <v>29</v>
      </c>
      <c r="U35" s="9"/>
    </row>
    <row r="36" spans="1:20" s="9" customFormat="1" ht="15">
      <c r="A36" s="7"/>
      <c r="B36" s="7"/>
      <c r="C36" s="27" t="s">
        <v>32</v>
      </c>
      <c r="D36" s="27"/>
      <c r="E36" s="27">
        <v>1300</v>
      </c>
      <c r="F36" s="27"/>
      <c r="G36" s="27">
        <v>0.01</v>
      </c>
      <c r="H36" s="27"/>
      <c r="I36" s="27">
        <v>320</v>
      </c>
      <c r="J36" s="27"/>
      <c r="K36" s="27" t="s">
        <v>30</v>
      </c>
      <c r="L36" s="27"/>
      <c r="M36" s="28">
        <v>600</v>
      </c>
      <c r="N36" s="29">
        <v>280</v>
      </c>
      <c r="O36" s="29">
        <v>120</v>
      </c>
      <c r="P36" s="29">
        <v>7.5</v>
      </c>
      <c r="Q36" s="29"/>
      <c r="R36" s="29" t="s">
        <v>31</v>
      </c>
      <c r="S36" s="7"/>
      <c r="T36" s="7"/>
    </row>
    <row r="39" spans="1:23" s="31" customFormat="1" ht="20.25">
      <c r="A39" s="30"/>
      <c r="B39" s="32" t="s">
        <v>64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V39" s="30"/>
      <c r="W39" s="30"/>
    </row>
    <row r="40" spans="1:23" s="9" customFormat="1" ht="15">
      <c r="A40" s="7"/>
      <c r="B40" s="34" t="s">
        <v>37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V40" s="7"/>
      <c r="W40" s="7"/>
    </row>
    <row r="41" spans="1:23" s="9" customFormat="1" ht="15">
      <c r="A41" s="7"/>
      <c r="B41" s="34" t="s">
        <v>71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V41" s="7"/>
      <c r="W41" s="7"/>
    </row>
    <row r="42" spans="1:21" s="9" customFormat="1" ht="15">
      <c r="A42" s="7"/>
      <c r="B42" s="10"/>
      <c r="C42" s="11" t="s">
        <v>18</v>
      </c>
      <c r="D42" s="10"/>
      <c r="E42" s="11" t="s">
        <v>18</v>
      </c>
      <c r="F42" s="10"/>
      <c r="G42" s="11" t="s">
        <v>18</v>
      </c>
      <c r="H42" s="10"/>
      <c r="I42" s="10" t="s">
        <v>19</v>
      </c>
      <c r="J42" s="8" t="s">
        <v>18</v>
      </c>
      <c r="K42" s="8" t="s">
        <v>18</v>
      </c>
      <c r="L42" s="10" t="s">
        <v>19</v>
      </c>
      <c r="M42" s="8" t="s">
        <v>18</v>
      </c>
      <c r="N42" s="10" t="s">
        <v>19</v>
      </c>
      <c r="O42" s="10" t="s">
        <v>19</v>
      </c>
      <c r="P42" s="8" t="s">
        <v>18</v>
      </c>
      <c r="Q42" s="10" t="s">
        <v>19</v>
      </c>
      <c r="R42" s="10" t="s">
        <v>19</v>
      </c>
      <c r="S42" s="10" t="s">
        <v>19</v>
      </c>
      <c r="T42" s="10" t="s">
        <v>19</v>
      </c>
      <c r="U42" s="12"/>
    </row>
    <row r="43" spans="1:21" s="9" customFormat="1" ht="15">
      <c r="A43" s="7"/>
      <c r="B43" s="13" t="s">
        <v>17</v>
      </c>
      <c r="C43" s="13" t="s">
        <v>0</v>
      </c>
      <c r="D43" s="13" t="s">
        <v>12</v>
      </c>
      <c r="E43" s="13" t="s">
        <v>1</v>
      </c>
      <c r="F43" s="13" t="s">
        <v>12</v>
      </c>
      <c r="G43" s="13" t="s">
        <v>2</v>
      </c>
      <c r="H43" s="13" t="s">
        <v>12</v>
      </c>
      <c r="I43" s="13" t="s">
        <v>5</v>
      </c>
      <c r="J43" s="13" t="s">
        <v>3</v>
      </c>
      <c r="K43" s="13" t="s">
        <v>4</v>
      </c>
      <c r="L43" s="13" t="s">
        <v>10</v>
      </c>
      <c r="M43" s="13" t="s">
        <v>9</v>
      </c>
      <c r="N43" s="13" t="s">
        <v>6</v>
      </c>
      <c r="O43" s="13" t="s">
        <v>7</v>
      </c>
      <c r="P43" s="13" t="s">
        <v>8</v>
      </c>
      <c r="Q43" s="13" t="s">
        <v>16</v>
      </c>
      <c r="R43" s="13" t="s">
        <v>13</v>
      </c>
      <c r="S43" s="13" t="s">
        <v>14</v>
      </c>
      <c r="T43" s="13" t="s">
        <v>15</v>
      </c>
      <c r="U43" s="14"/>
    </row>
    <row r="44" spans="1:20" s="9" customFormat="1" ht="15">
      <c r="A44" s="7"/>
      <c r="B44" s="15"/>
      <c r="C44" s="16"/>
      <c r="D44" s="17"/>
      <c r="E44" s="16"/>
      <c r="F44" s="15"/>
      <c r="G44" s="16"/>
      <c r="H44" s="15"/>
      <c r="I44" s="18"/>
      <c r="J44" s="19"/>
      <c r="K44" s="19"/>
      <c r="L44" s="19"/>
      <c r="M44" s="19"/>
      <c r="N44" s="20"/>
      <c r="O44" s="20"/>
      <c r="P44" s="19"/>
      <c r="Q44" s="19"/>
      <c r="R44" s="21"/>
      <c r="S44" s="21"/>
      <c r="T44" s="21"/>
    </row>
    <row r="45" spans="1:20" s="9" customFormat="1" ht="15">
      <c r="A45" s="7"/>
      <c r="B45" s="22" t="s">
        <v>59</v>
      </c>
      <c r="C45" s="23">
        <v>3</v>
      </c>
      <c r="D45" s="23" t="s">
        <v>11</v>
      </c>
      <c r="E45" s="23">
        <v>2</v>
      </c>
      <c r="F45" s="23" t="s">
        <v>11</v>
      </c>
      <c r="G45" s="23">
        <v>5</v>
      </c>
      <c r="H45" s="23" t="s">
        <v>11</v>
      </c>
      <c r="I45" s="24">
        <f aca="true" t="shared" si="6" ref="I45:I59">(C45-E45)/2</f>
        <v>0.5</v>
      </c>
      <c r="J45" s="25">
        <v>175</v>
      </c>
      <c r="K45" s="25">
        <v>400</v>
      </c>
      <c r="L45" s="25">
        <f aca="true" t="shared" si="7" ref="L45:L59">800*I45</f>
        <v>400</v>
      </c>
      <c r="M45" s="25">
        <v>400</v>
      </c>
      <c r="N45" s="26">
        <f aca="true" t="shared" si="8" ref="N45:N59">(2*(J45*10^-12)*(M45)*(G45/1000))/((C45/1000)-(E45/1000))</f>
        <v>7E-07</v>
      </c>
      <c r="O45" s="26">
        <f aca="true" t="shared" si="9" ref="O45:O59">((J45*10^-12)*(((C45+E45)/1000)/2)*M45)/(((C45-E45)/1000)/2)</f>
        <v>3.5E-07</v>
      </c>
      <c r="P45" s="25">
        <v>1800</v>
      </c>
      <c r="Q45" s="25">
        <f aca="true" t="shared" si="10" ref="Q45:Q59">ROUND(((2*P45*(8.854*10^-12)*3.14*(G45/1000))/LN(C45/E45))*10^12,-2)</f>
        <v>1200</v>
      </c>
      <c r="R45" s="25">
        <f>1300/G45</f>
        <v>260</v>
      </c>
      <c r="S45" s="25">
        <f>(1050/((C45+E45)/2))</f>
        <v>420</v>
      </c>
      <c r="T45" s="25">
        <f aca="true" t="shared" si="11" ref="T45:T59">ROUND(2000/I45,-1)</f>
        <v>4000</v>
      </c>
    </row>
    <row r="46" spans="1:20" s="9" customFormat="1" ht="15">
      <c r="A46" s="7"/>
      <c r="B46" s="22" t="s">
        <v>58</v>
      </c>
      <c r="C46" s="23">
        <v>5</v>
      </c>
      <c r="D46" s="23" t="s">
        <v>11</v>
      </c>
      <c r="E46" s="23">
        <v>4</v>
      </c>
      <c r="F46" s="23" t="s">
        <v>11</v>
      </c>
      <c r="G46" s="23">
        <v>10</v>
      </c>
      <c r="H46" s="23" t="s">
        <v>11</v>
      </c>
      <c r="I46" s="24">
        <f t="shared" si="6"/>
        <v>0.5</v>
      </c>
      <c r="J46" s="25">
        <v>175</v>
      </c>
      <c r="K46" s="25">
        <v>400</v>
      </c>
      <c r="L46" s="25">
        <f t="shared" si="7"/>
        <v>400</v>
      </c>
      <c r="M46" s="25">
        <v>400</v>
      </c>
      <c r="N46" s="26">
        <f t="shared" si="8"/>
        <v>1.4E-06</v>
      </c>
      <c r="O46" s="26">
        <f t="shared" si="9"/>
        <v>6.299999999999999E-07</v>
      </c>
      <c r="P46" s="25">
        <v>1800</v>
      </c>
      <c r="Q46" s="25">
        <f t="shared" si="10"/>
        <v>4500</v>
      </c>
      <c r="R46" s="25">
        <f>1300/G46</f>
        <v>130</v>
      </c>
      <c r="S46" s="25">
        <f>(1050/((C46+E46)/2))</f>
        <v>233.33333333333334</v>
      </c>
      <c r="T46" s="25">
        <f t="shared" si="11"/>
        <v>4000</v>
      </c>
    </row>
    <row r="47" spans="1:20" s="9" customFormat="1" ht="15">
      <c r="A47" s="7"/>
      <c r="B47" s="22" t="s">
        <v>38</v>
      </c>
      <c r="C47" s="23">
        <v>6.35</v>
      </c>
      <c r="D47" s="23" t="s">
        <v>11</v>
      </c>
      <c r="E47" s="23">
        <v>4.9</v>
      </c>
      <c r="F47" s="23" t="s">
        <v>11</v>
      </c>
      <c r="G47" s="23">
        <v>6.35</v>
      </c>
      <c r="H47" s="23" t="s">
        <v>11</v>
      </c>
      <c r="I47" s="24">
        <f t="shared" si="6"/>
        <v>0.7249999999999996</v>
      </c>
      <c r="J47" s="25">
        <v>175</v>
      </c>
      <c r="K47" s="25">
        <v>400</v>
      </c>
      <c r="L47" s="25">
        <f t="shared" si="7"/>
        <v>579.9999999999998</v>
      </c>
      <c r="M47" s="25">
        <v>580</v>
      </c>
      <c r="N47" s="26">
        <f t="shared" si="8"/>
        <v>8.890000000000005E-07</v>
      </c>
      <c r="O47" s="26">
        <f t="shared" si="9"/>
        <v>7.875000000000003E-07</v>
      </c>
      <c r="P47" s="25">
        <v>1800</v>
      </c>
      <c r="Q47" s="25">
        <f t="shared" si="10"/>
        <v>2500</v>
      </c>
      <c r="R47" s="25">
        <f aca="true" t="shared" si="12" ref="R47:R59">1650/G47</f>
        <v>259.8425196850394</v>
      </c>
      <c r="S47" s="25">
        <f aca="true" t="shared" si="13" ref="S47:S59">(900/((C47+E47)/2))</f>
        <v>160</v>
      </c>
      <c r="T47" s="25">
        <f t="shared" si="11"/>
        <v>2760</v>
      </c>
    </row>
    <row r="48" spans="1:20" s="9" customFormat="1" ht="15">
      <c r="A48" s="7"/>
      <c r="B48" s="22" t="s">
        <v>39</v>
      </c>
      <c r="C48" s="23">
        <v>10</v>
      </c>
      <c r="D48" s="23" t="s">
        <v>33</v>
      </c>
      <c r="E48" s="23">
        <v>8</v>
      </c>
      <c r="F48" s="23" t="s">
        <v>33</v>
      </c>
      <c r="G48" s="23">
        <v>10</v>
      </c>
      <c r="H48" s="23" t="s">
        <v>11</v>
      </c>
      <c r="I48" s="24">
        <f t="shared" si="6"/>
        <v>1</v>
      </c>
      <c r="J48" s="25">
        <v>175</v>
      </c>
      <c r="K48" s="25">
        <v>400</v>
      </c>
      <c r="L48" s="25">
        <f t="shared" si="7"/>
        <v>800</v>
      </c>
      <c r="M48" s="25">
        <v>800</v>
      </c>
      <c r="N48" s="26">
        <f t="shared" si="8"/>
        <v>1.4E-06</v>
      </c>
      <c r="O48" s="26">
        <f t="shared" si="9"/>
        <v>1.2599999999999998E-06</v>
      </c>
      <c r="P48" s="25">
        <v>1800</v>
      </c>
      <c r="Q48" s="25">
        <f t="shared" si="10"/>
        <v>4500</v>
      </c>
      <c r="R48" s="25">
        <f t="shared" si="12"/>
        <v>165</v>
      </c>
      <c r="S48" s="25">
        <f t="shared" si="13"/>
        <v>100</v>
      </c>
      <c r="T48" s="25">
        <f t="shared" si="11"/>
        <v>2000</v>
      </c>
    </row>
    <row r="49" spans="1:20" s="9" customFormat="1" ht="15">
      <c r="A49" s="7"/>
      <c r="B49" s="22" t="s">
        <v>40</v>
      </c>
      <c r="C49" s="23">
        <v>15.5</v>
      </c>
      <c r="D49" s="23" t="s">
        <v>33</v>
      </c>
      <c r="E49" s="23">
        <v>11.2</v>
      </c>
      <c r="F49" s="23" t="s">
        <v>33</v>
      </c>
      <c r="G49" s="23">
        <v>18</v>
      </c>
      <c r="H49" s="23" t="s">
        <v>11</v>
      </c>
      <c r="I49" s="24">
        <f t="shared" si="6"/>
        <v>2.1500000000000004</v>
      </c>
      <c r="J49" s="25">
        <v>175</v>
      </c>
      <c r="K49" s="25">
        <v>400</v>
      </c>
      <c r="L49" s="25">
        <f t="shared" si="7"/>
        <v>1720.0000000000002</v>
      </c>
      <c r="M49" s="25">
        <v>1000</v>
      </c>
      <c r="N49" s="26">
        <f t="shared" si="8"/>
        <v>1.4651162790697674E-06</v>
      </c>
      <c r="O49" s="26">
        <f t="shared" si="9"/>
        <v>1.0866279069767439E-06</v>
      </c>
      <c r="P49" s="25">
        <v>1800</v>
      </c>
      <c r="Q49" s="25">
        <f t="shared" si="10"/>
        <v>5500</v>
      </c>
      <c r="R49" s="25">
        <f t="shared" si="12"/>
        <v>91.66666666666667</v>
      </c>
      <c r="S49" s="25">
        <f t="shared" si="13"/>
        <v>67.41573033707866</v>
      </c>
      <c r="T49" s="25">
        <f t="shared" si="11"/>
        <v>930</v>
      </c>
    </row>
    <row r="50" spans="1:20" s="9" customFormat="1" ht="15">
      <c r="A50" s="7"/>
      <c r="B50" s="22" t="s">
        <v>41</v>
      </c>
      <c r="C50" s="23">
        <v>19</v>
      </c>
      <c r="D50" s="23" t="s">
        <v>33</v>
      </c>
      <c r="E50" s="23">
        <v>16</v>
      </c>
      <c r="F50" s="23" t="s">
        <v>33</v>
      </c>
      <c r="G50" s="23">
        <v>20</v>
      </c>
      <c r="H50" s="23" t="s">
        <v>11</v>
      </c>
      <c r="I50" s="24">
        <f t="shared" si="6"/>
        <v>1.5</v>
      </c>
      <c r="J50" s="25">
        <v>175</v>
      </c>
      <c r="K50" s="25">
        <v>400</v>
      </c>
      <c r="L50" s="25">
        <f t="shared" si="7"/>
        <v>1200</v>
      </c>
      <c r="M50" s="25">
        <v>1000</v>
      </c>
      <c r="N50" s="26">
        <f t="shared" si="8"/>
        <v>2.333333333333334E-06</v>
      </c>
      <c r="O50" s="26">
        <f t="shared" si="9"/>
        <v>2.041666666666667E-06</v>
      </c>
      <c r="P50" s="25">
        <v>1800</v>
      </c>
      <c r="Q50" s="25">
        <f t="shared" si="10"/>
        <v>11600</v>
      </c>
      <c r="R50" s="25">
        <f t="shared" si="12"/>
        <v>82.5</v>
      </c>
      <c r="S50" s="25">
        <f t="shared" si="13"/>
        <v>51.42857142857143</v>
      </c>
      <c r="T50" s="25">
        <f t="shared" si="11"/>
        <v>1330</v>
      </c>
    </row>
    <row r="51" spans="1:20" s="9" customFormat="1" ht="15">
      <c r="A51" s="7"/>
      <c r="B51" s="22" t="s">
        <v>67</v>
      </c>
      <c r="C51" s="23">
        <v>22</v>
      </c>
      <c r="D51" s="13" t="s">
        <v>68</v>
      </c>
      <c r="E51" s="23">
        <v>20</v>
      </c>
      <c r="F51" s="23" t="s">
        <v>33</v>
      </c>
      <c r="G51" s="23">
        <v>10</v>
      </c>
      <c r="H51" s="23" t="s">
        <v>11</v>
      </c>
      <c r="I51" s="24">
        <f>(C51-E51)/2</f>
        <v>1</v>
      </c>
      <c r="J51" s="25">
        <v>175</v>
      </c>
      <c r="K51" s="25">
        <v>400</v>
      </c>
      <c r="L51" s="25">
        <f>800*I51</f>
        <v>800</v>
      </c>
      <c r="M51" s="25">
        <v>1000</v>
      </c>
      <c r="N51" s="26">
        <f>(2*(J51*10^-12)*(M51)*(G51/1000))/((C51/1000)-(E51/1000))</f>
        <v>1.7500000000000015E-06</v>
      </c>
      <c r="O51" s="26">
        <f>((J51*10^-12)*(((C51+E51)/1000)/2)*M51)/(((C51-E51)/1000)/2)</f>
        <v>3.675E-06</v>
      </c>
      <c r="P51" s="25">
        <v>1800</v>
      </c>
      <c r="Q51" s="25">
        <f>ROUND(((2*P51*(8.854*10^-12)*3.14*(G51/1000))/LN(C51/E51))*10^12,-2)</f>
        <v>10500</v>
      </c>
      <c r="R51" s="25">
        <f>1550/G51</f>
        <v>155</v>
      </c>
      <c r="S51" s="25">
        <f>(900/((C51+E51)/2))</f>
        <v>42.857142857142854</v>
      </c>
      <c r="T51" s="25">
        <f>ROUND(2000/I51,-1)</f>
        <v>2000</v>
      </c>
    </row>
    <row r="52" spans="1:20" s="9" customFormat="1" ht="15">
      <c r="A52" s="7"/>
      <c r="B52" s="22" t="s">
        <v>42</v>
      </c>
      <c r="C52" s="23">
        <v>22</v>
      </c>
      <c r="D52" s="23" t="s">
        <v>33</v>
      </c>
      <c r="E52" s="23">
        <v>16</v>
      </c>
      <c r="F52" s="23" t="s">
        <v>33</v>
      </c>
      <c r="G52" s="23">
        <v>20</v>
      </c>
      <c r="H52" s="23" t="s">
        <v>11</v>
      </c>
      <c r="I52" s="24">
        <f t="shared" si="6"/>
        <v>3</v>
      </c>
      <c r="J52" s="25">
        <v>175</v>
      </c>
      <c r="K52" s="25">
        <v>400</v>
      </c>
      <c r="L52" s="25">
        <f t="shared" si="7"/>
        <v>2400</v>
      </c>
      <c r="M52" s="25">
        <v>1000</v>
      </c>
      <c r="N52" s="26">
        <f t="shared" si="8"/>
        <v>1.166666666666667E-06</v>
      </c>
      <c r="O52" s="26">
        <f t="shared" si="9"/>
        <v>1.1083333333333332E-06</v>
      </c>
      <c r="P52" s="25">
        <v>1800</v>
      </c>
      <c r="Q52" s="25">
        <f t="shared" si="10"/>
        <v>6300</v>
      </c>
      <c r="R52" s="25">
        <f t="shared" si="12"/>
        <v>82.5</v>
      </c>
      <c r="S52" s="25">
        <f t="shared" si="13"/>
        <v>47.36842105263158</v>
      </c>
      <c r="T52" s="25">
        <f t="shared" si="11"/>
        <v>670</v>
      </c>
    </row>
    <row r="53" spans="1:20" s="9" customFormat="1" ht="15">
      <c r="A53" s="7"/>
      <c r="B53" s="22" t="s">
        <v>43</v>
      </c>
      <c r="C53" s="23">
        <v>26</v>
      </c>
      <c r="D53" s="23" t="s">
        <v>33</v>
      </c>
      <c r="E53" s="23">
        <v>22</v>
      </c>
      <c r="F53" s="23" t="s">
        <v>33</v>
      </c>
      <c r="G53" s="23">
        <v>20</v>
      </c>
      <c r="H53" s="23" t="s">
        <v>11</v>
      </c>
      <c r="I53" s="24">
        <f t="shared" si="6"/>
        <v>2</v>
      </c>
      <c r="J53" s="25">
        <v>175</v>
      </c>
      <c r="K53" s="25">
        <v>400</v>
      </c>
      <c r="L53" s="25">
        <f t="shared" si="7"/>
        <v>1600</v>
      </c>
      <c r="M53" s="25">
        <v>1000</v>
      </c>
      <c r="N53" s="26">
        <f t="shared" si="8"/>
        <v>1.75E-06</v>
      </c>
      <c r="O53" s="26">
        <f t="shared" si="9"/>
        <v>2.1E-06</v>
      </c>
      <c r="P53" s="25">
        <v>1800</v>
      </c>
      <c r="Q53" s="25">
        <f t="shared" si="10"/>
        <v>12000</v>
      </c>
      <c r="R53" s="25">
        <f t="shared" si="12"/>
        <v>82.5</v>
      </c>
      <c r="S53" s="25">
        <f t="shared" si="13"/>
        <v>37.5</v>
      </c>
      <c r="T53" s="25">
        <f t="shared" si="11"/>
        <v>1000</v>
      </c>
    </row>
    <row r="54" spans="1:20" s="9" customFormat="1" ht="15">
      <c r="A54" s="7"/>
      <c r="B54" s="22" t="s">
        <v>44</v>
      </c>
      <c r="C54" s="23">
        <v>30</v>
      </c>
      <c r="D54" s="23" t="s">
        <v>33</v>
      </c>
      <c r="E54" s="23">
        <v>26</v>
      </c>
      <c r="F54" s="23" t="s">
        <v>33</v>
      </c>
      <c r="G54" s="23">
        <v>20</v>
      </c>
      <c r="H54" s="23" t="s">
        <v>11</v>
      </c>
      <c r="I54" s="24">
        <f t="shared" si="6"/>
        <v>2</v>
      </c>
      <c r="J54" s="25">
        <v>175</v>
      </c>
      <c r="K54" s="25">
        <v>400</v>
      </c>
      <c r="L54" s="25">
        <f t="shared" si="7"/>
        <v>1600</v>
      </c>
      <c r="M54" s="25">
        <v>1000</v>
      </c>
      <c r="N54" s="26">
        <f t="shared" si="8"/>
        <v>1.75E-06</v>
      </c>
      <c r="O54" s="26">
        <f t="shared" si="9"/>
        <v>2.45E-06</v>
      </c>
      <c r="P54" s="25">
        <v>1800</v>
      </c>
      <c r="Q54" s="25">
        <f t="shared" si="10"/>
        <v>14000</v>
      </c>
      <c r="R54" s="25">
        <f t="shared" si="12"/>
        <v>82.5</v>
      </c>
      <c r="S54" s="25">
        <f t="shared" si="13"/>
        <v>32.142857142857146</v>
      </c>
      <c r="T54" s="25">
        <f t="shared" si="11"/>
        <v>1000</v>
      </c>
    </row>
    <row r="55" spans="1:20" s="9" customFormat="1" ht="15">
      <c r="A55" s="7"/>
      <c r="B55" s="22" t="s">
        <v>45</v>
      </c>
      <c r="C55" s="23">
        <v>38</v>
      </c>
      <c r="D55" s="23" t="s">
        <v>34</v>
      </c>
      <c r="E55" s="23">
        <v>34</v>
      </c>
      <c r="F55" s="23" t="s">
        <v>34</v>
      </c>
      <c r="G55" s="23">
        <v>25</v>
      </c>
      <c r="H55" s="23" t="s">
        <v>11</v>
      </c>
      <c r="I55" s="24">
        <f t="shared" si="6"/>
        <v>2</v>
      </c>
      <c r="J55" s="25">
        <v>175</v>
      </c>
      <c r="K55" s="25">
        <v>400</v>
      </c>
      <c r="L55" s="25">
        <f t="shared" si="7"/>
        <v>1600</v>
      </c>
      <c r="M55" s="25">
        <v>1000</v>
      </c>
      <c r="N55" s="26">
        <f t="shared" si="8"/>
        <v>2.187500000000002E-06</v>
      </c>
      <c r="O55" s="26">
        <f t="shared" si="9"/>
        <v>3.1499999999999995E-06</v>
      </c>
      <c r="P55" s="25">
        <v>1800</v>
      </c>
      <c r="Q55" s="25">
        <f t="shared" si="10"/>
        <v>22500</v>
      </c>
      <c r="R55" s="25">
        <f t="shared" si="12"/>
        <v>66</v>
      </c>
      <c r="S55" s="25">
        <f t="shared" si="13"/>
        <v>25</v>
      </c>
      <c r="T55" s="25">
        <f t="shared" si="11"/>
        <v>1000</v>
      </c>
    </row>
    <row r="56" spans="1:20" s="9" customFormat="1" ht="15">
      <c r="A56" s="7"/>
      <c r="B56" s="22" t="s">
        <v>46</v>
      </c>
      <c r="C56" s="23">
        <v>44</v>
      </c>
      <c r="D56" s="23" t="s">
        <v>34</v>
      </c>
      <c r="E56" s="23">
        <v>38</v>
      </c>
      <c r="F56" s="23" t="s">
        <v>34</v>
      </c>
      <c r="G56" s="23">
        <v>30</v>
      </c>
      <c r="H56" s="23" t="s">
        <v>11</v>
      </c>
      <c r="I56" s="24">
        <f t="shared" si="6"/>
        <v>3</v>
      </c>
      <c r="J56" s="25">
        <v>175</v>
      </c>
      <c r="K56" s="25">
        <v>400</v>
      </c>
      <c r="L56" s="25">
        <f t="shared" si="7"/>
        <v>2400</v>
      </c>
      <c r="M56" s="25">
        <v>1000</v>
      </c>
      <c r="N56" s="26">
        <f t="shared" si="8"/>
        <v>1.7500000000000004E-06</v>
      </c>
      <c r="O56" s="26">
        <f t="shared" si="9"/>
        <v>2.3916666666666665E-06</v>
      </c>
      <c r="P56" s="25">
        <v>1800</v>
      </c>
      <c r="Q56" s="25">
        <f t="shared" si="10"/>
        <v>20500</v>
      </c>
      <c r="R56" s="25">
        <f t="shared" si="12"/>
        <v>55</v>
      </c>
      <c r="S56" s="25">
        <f t="shared" si="13"/>
        <v>21.951219512195124</v>
      </c>
      <c r="T56" s="25">
        <f t="shared" si="11"/>
        <v>670</v>
      </c>
    </row>
    <row r="57" spans="1:20" s="9" customFormat="1" ht="15">
      <c r="A57" s="7"/>
      <c r="B57" s="22" t="s">
        <v>60</v>
      </c>
      <c r="C57" s="23">
        <v>50</v>
      </c>
      <c r="D57" s="23" t="s">
        <v>34</v>
      </c>
      <c r="E57" s="23">
        <v>46</v>
      </c>
      <c r="F57" s="23" t="s">
        <v>34</v>
      </c>
      <c r="G57" s="23">
        <v>30</v>
      </c>
      <c r="H57" s="23" t="s">
        <v>11</v>
      </c>
      <c r="I57" s="24">
        <f t="shared" si="6"/>
        <v>2</v>
      </c>
      <c r="J57" s="25">
        <v>175</v>
      </c>
      <c r="K57" s="25">
        <v>400</v>
      </c>
      <c r="L57" s="25">
        <f t="shared" si="7"/>
        <v>1600</v>
      </c>
      <c r="M57" s="25">
        <v>1000</v>
      </c>
      <c r="N57" s="26">
        <f t="shared" si="8"/>
        <v>2.6249999999999977E-06</v>
      </c>
      <c r="O57" s="26">
        <f t="shared" si="9"/>
        <v>4.2E-06</v>
      </c>
      <c r="P57" s="25">
        <v>1800</v>
      </c>
      <c r="Q57" s="25">
        <f t="shared" si="10"/>
        <v>36000</v>
      </c>
      <c r="R57" s="25">
        <f t="shared" si="12"/>
        <v>55</v>
      </c>
      <c r="S57" s="25">
        <f t="shared" si="13"/>
        <v>18.75</v>
      </c>
      <c r="T57" s="25">
        <f t="shared" si="11"/>
        <v>1000</v>
      </c>
    </row>
    <row r="58" spans="1:20" s="9" customFormat="1" ht="15">
      <c r="A58" s="7"/>
      <c r="B58" s="22" t="s">
        <v>47</v>
      </c>
      <c r="C58" s="23">
        <v>68</v>
      </c>
      <c r="D58" s="23" t="s">
        <v>34</v>
      </c>
      <c r="E58" s="23">
        <v>60</v>
      </c>
      <c r="F58" s="23" t="s">
        <v>34</v>
      </c>
      <c r="G58" s="23">
        <v>25</v>
      </c>
      <c r="H58" s="23" t="s">
        <v>11</v>
      </c>
      <c r="I58" s="24">
        <f t="shared" si="6"/>
        <v>4</v>
      </c>
      <c r="J58" s="25">
        <v>175</v>
      </c>
      <c r="K58" s="25">
        <v>400</v>
      </c>
      <c r="L58" s="25">
        <f t="shared" si="7"/>
        <v>3200</v>
      </c>
      <c r="M58" s="25">
        <v>1000</v>
      </c>
      <c r="N58" s="26">
        <f t="shared" si="8"/>
        <v>1.093749999999999E-06</v>
      </c>
      <c r="O58" s="26">
        <f t="shared" si="9"/>
        <v>2.8E-06</v>
      </c>
      <c r="P58" s="25">
        <v>1800</v>
      </c>
      <c r="Q58" s="25">
        <f t="shared" si="10"/>
        <v>20000</v>
      </c>
      <c r="R58" s="25">
        <f t="shared" si="12"/>
        <v>66</v>
      </c>
      <c r="S58" s="25">
        <f t="shared" si="13"/>
        <v>14.0625</v>
      </c>
      <c r="T58" s="25">
        <f t="shared" si="11"/>
        <v>500</v>
      </c>
    </row>
    <row r="59" spans="1:20" s="9" customFormat="1" ht="15">
      <c r="A59" s="7"/>
      <c r="B59" s="22" t="s">
        <v>48</v>
      </c>
      <c r="C59" s="23">
        <v>85</v>
      </c>
      <c r="D59" s="23" t="s">
        <v>34</v>
      </c>
      <c r="E59" s="23">
        <v>77</v>
      </c>
      <c r="F59" s="23" t="s">
        <v>34</v>
      </c>
      <c r="G59" s="23">
        <v>30</v>
      </c>
      <c r="H59" s="23" t="s">
        <v>11</v>
      </c>
      <c r="I59" s="24">
        <f t="shared" si="6"/>
        <v>4</v>
      </c>
      <c r="J59" s="25">
        <v>175</v>
      </c>
      <c r="K59" s="25">
        <v>400</v>
      </c>
      <c r="L59" s="25">
        <f t="shared" si="7"/>
        <v>3200</v>
      </c>
      <c r="M59" s="25">
        <v>1000</v>
      </c>
      <c r="N59" s="26">
        <f t="shared" si="8"/>
        <v>1.3124999999999989E-06</v>
      </c>
      <c r="O59" s="26">
        <f t="shared" si="9"/>
        <v>3.5437499999999997E-06</v>
      </c>
      <c r="P59" s="25">
        <v>1800</v>
      </c>
      <c r="Q59" s="25">
        <f t="shared" si="10"/>
        <v>30400</v>
      </c>
      <c r="R59" s="25">
        <f t="shared" si="12"/>
        <v>55</v>
      </c>
      <c r="S59" s="25">
        <f t="shared" si="13"/>
        <v>11.11111111111111</v>
      </c>
      <c r="T59" s="25">
        <f t="shared" si="11"/>
        <v>500</v>
      </c>
    </row>
    <row r="60" spans="1:21" s="9" customFormat="1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s="9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s="9" customFormat="1" ht="15">
      <c r="A62" s="7"/>
      <c r="B62" s="7"/>
      <c r="C62" s="27" t="s">
        <v>20</v>
      </c>
      <c r="D62" s="27"/>
      <c r="E62" s="27" t="s">
        <v>21</v>
      </c>
      <c r="F62" s="27"/>
      <c r="G62" s="27" t="s">
        <v>22</v>
      </c>
      <c r="H62" s="27"/>
      <c r="I62" s="27" t="s">
        <v>23</v>
      </c>
      <c r="J62" s="27"/>
      <c r="K62" s="27" t="s">
        <v>24</v>
      </c>
      <c r="L62" s="27"/>
      <c r="M62" s="28" t="s">
        <v>25</v>
      </c>
      <c r="N62" s="29" t="s">
        <v>26</v>
      </c>
      <c r="O62" s="29" t="s">
        <v>27</v>
      </c>
      <c r="P62" s="29" t="s">
        <v>28</v>
      </c>
      <c r="Q62" s="29"/>
      <c r="R62" s="29" t="s">
        <v>29</v>
      </c>
      <c r="S62" s="7"/>
      <c r="T62" s="7"/>
      <c r="U62" s="7"/>
    </row>
    <row r="63" spans="1:21" s="9" customFormat="1" ht="15">
      <c r="A63" s="7"/>
      <c r="B63" s="7"/>
      <c r="C63" s="27" t="s">
        <v>35</v>
      </c>
      <c r="D63" s="27"/>
      <c r="E63" s="27">
        <v>1800</v>
      </c>
      <c r="F63" s="27"/>
      <c r="G63" s="27">
        <v>0.02</v>
      </c>
      <c r="H63" s="27"/>
      <c r="I63" s="27">
        <v>300</v>
      </c>
      <c r="J63" s="27"/>
      <c r="K63" s="27" t="s">
        <v>36</v>
      </c>
      <c r="L63" s="27"/>
      <c r="M63" s="28">
        <v>85</v>
      </c>
      <c r="N63" s="29">
        <v>350</v>
      </c>
      <c r="O63" s="29">
        <v>175</v>
      </c>
      <c r="P63" s="29">
        <v>7.5</v>
      </c>
      <c r="Q63" s="29"/>
      <c r="R63" s="29">
        <v>12</v>
      </c>
      <c r="S63" s="7"/>
      <c r="T63" s="7"/>
      <c r="U63" s="7"/>
    </row>
  </sheetData>
  <sheetProtection/>
  <mergeCells count="9">
    <mergeCell ref="B39:T39"/>
    <mergeCell ref="B40:T40"/>
    <mergeCell ref="B41:T41"/>
    <mergeCell ref="B11:T11"/>
    <mergeCell ref="B12:T12"/>
    <mergeCell ref="B13:T13"/>
    <mergeCell ref="B16:T16"/>
    <mergeCell ref="B17:T17"/>
    <mergeCell ref="B18:T18"/>
  </mergeCells>
  <printOptions horizontalCentered="1"/>
  <pageMargins left="0" right="0" top="0.559722222222222" bottom="1" header="0.5" footer="0.5"/>
  <pageSetup fitToHeight="1" fitToWidth="1" horizontalDpi="600" verticalDpi="600" orientation="portrait" scale="49" r:id="rId2"/>
  <ignoredErrors>
    <ignoredError sqref="D50" numberStoredAsText="1"/>
    <ignoredError sqref="R5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APC,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APC, Inc.</dc:creator>
  <cp:keywords/>
  <dc:description/>
  <cp:lastModifiedBy>Elizabeth Simcox</cp:lastModifiedBy>
  <cp:lastPrinted>2022-05-27T15:36:32Z</cp:lastPrinted>
  <dcterms:created xsi:type="dcterms:W3CDTF">2003-09-29T14:22:59Z</dcterms:created>
  <dcterms:modified xsi:type="dcterms:W3CDTF">2023-05-23T18:02:16Z</dcterms:modified>
  <cp:category/>
  <cp:version/>
  <cp:contentType/>
  <cp:contentStatus/>
</cp:coreProperties>
</file>